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<sst xmlns="http://schemas.openxmlformats.org/spreadsheetml/2006/main" count="205" uniqueCount="193">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</sst>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9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5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8" sqref="I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84" t="s">
        <v>191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17"/>
      <c r="R1" s="118"/>
    </row>
    <row r="2" spans="2:18" s="1" customFormat="1" ht="15.75" customHeight="1">
      <c r="B2" s="185"/>
      <c r="C2" s="185"/>
      <c r="D2" s="18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6"/>
      <c r="B3" s="188"/>
      <c r="C3" s="189" t="s">
        <v>0</v>
      </c>
      <c r="D3" s="190" t="s">
        <v>190</v>
      </c>
      <c r="E3" s="40"/>
      <c r="F3" s="191" t="s">
        <v>107</v>
      </c>
      <c r="G3" s="192"/>
      <c r="H3" s="192"/>
      <c r="I3" s="192"/>
      <c r="J3" s="193"/>
      <c r="K3" s="114"/>
      <c r="L3" s="114"/>
      <c r="M3" s="194" t="s">
        <v>187</v>
      </c>
      <c r="N3" s="177" t="s">
        <v>175</v>
      </c>
      <c r="O3" s="177"/>
      <c r="P3" s="177"/>
      <c r="Q3" s="177"/>
      <c r="R3" s="177"/>
    </row>
    <row r="4" spans="1:18" ht="22.5" customHeight="1">
      <c r="A4" s="186"/>
      <c r="B4" s="188"/>
      <c r="C4" s="189"/>
      <c r="D4" s="190"/>
      <c r="E4" s="197" t="s">
        <v>153</v>
      </c>
      <c r="F4" s="178" t="s">
        <v>116</v>
      </c>
      <c r="G4" s="180" t="s">
        <v>173</v>
      </c>
      <c r="H4" s="182" t="s">
        <v>174</v>
      </c>
      <c r="I4" s="175" t="s">
        <v>186</v>
      </c>
      <c r="J4" s="171" t="s">
        <v>189</v>
      </c>
      <c r="K4" s="116" t="s">
        <v>172</v>
      </c>
      <c r="L4" s="121" t="s">
        <v>171</v>
      </c>
      <c r="M4" s="195"/>
      <c r="N4" s="173" t="s">
        <v>192</v>
      </c>
      <c r="O4" s="175" t="s">
        <v>136</v>
      </c>
      <c r="P4" s="177" t="s">
        <v>135</v>
      </c>
      <c r="Q4" s="122" t="s">
        <v>172</v>
      </c>
      <c r="R4" s="123" t="s">
        <v>171</v>
      </c>
    </row>
    <row r="5" spans="1:18" ht="92.25" customHeight="1">
      <c r="A5" s="187"/>
      <c r="B5" s="188"/>
      <c r="C5" s="189"/>
      <c r="D5" s="190"/>
      <c r="E5" s="198"/>
      <c r="F5" s="179"/>
      <c r="G5" s="181"/>
      <c r="H5" s="183"/>
      <c r="I5" s="176"/>
      <c r="J5" s="172"/>
      <c r="K5" s="168" t="s">
        <v>188</v>
      </c>
      <c r="L5" s="169"/>
      <c r="M5" s="196"/>
      <c r="N5" s="174"/>
      <c r="O5" s="176"/>
      <c r="P5" s="177"/>
      <c r="Q5" s="168" t="s">
        <v>176</v>
      </c>
      <c r="R5" s="169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12313</v>
      </c>
      <c r="G8" s="18">
        <f aca="true" t="shared" si="0" ref="G8:G30">F8-E8</f>
        <v>-6364.950000000001</v>
      </c>
      <c r="H8" s="45">
        <f>F8/E8*100</f>
        <v>65.92265211117922</v>
      </c>
      <c r="I8" s="31">
        <f aca="true" t="shared" si="1" ref="I8:I17">F8-D8</f>
        <v>-177457.7</v>
      </c>
      <c r="J8" s="31">
        <f aca="true" t="shared" si="2" ref="J8:J14">F8/D8*100</f>
        <v>6.488356737894732</v>
      </c>
      <c r="K8" s="31">
        <f>F8-33748.2</f>
        <v>-21435.199999999997</v>
      </c>
      <c r="L8" s="31">
        <f>F8/33748.2*100</f>
        <v>36.484908824766954</v>
      </c>
      <c r="M8" s="18">
        <f>M10+M19+M33+M56+M68+M30</f>
        <v>18677.95</v>
      </c>
      <c r="N8" s="18">
        <f>N10+N19+N33+N56+N68+N30</f>
        <v>12313</v>
      </c>
      <c r="O8" s="31">
        <f aca="true" t="shared" si="3" ref="O8:O55">N8-M8</f>
        <v>-6364.950000000001</v>
      </c>
      <c r="P8" s="31">
        <f>F8/M8*100</f>
        <v>65.92265211117922</v>
      </c>
      <c r="Q8" s="31">
        <f>N8-33748.16</f>
        <v>-21435.160000000003</v>
      </c>
      <c r="R8" s="125">
        <f>N8/33748.16</f>
        <v>0.36484952068497956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11442.34</v>
      </c>
      <c r="G9" s="18">
        <f t="shared" si="0"/>
        <v>11442.34</v>
      </c>
      <c r="H9" s="16"/>
      <c r="I9" s="50">
        <f t="shared" si="1"/>
        <v>-132521.36000000002</v>
      </c>
      <c r="J9" s="50">
        <f t="shared" si="2"/>
        <v>7.948073021185201</v>
      </c>
      <c r="K9" s="50"/>
      <c r="L9" s="50"/>
      <c r="M9" s="16">
        <f>M10+M17</f>
        <v>11344.95</v>
      </c>
      <c r="N9" s="16">
        <f>N10+N17</f>
        <v>11442.34</v>
      </c>
      <c r="O9" s="31">
        <f t="shared" si="3"/>
        <v>97.38999999999942</v>
      </c>
      <c r="P9" s="50">
        <f>F9/M9*100</f>
        <v>100.85844362469645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11442.34</v>
      </c>
      <c r="G10" s="43">
        <f t="shared" si="0"/>
        <v>97.38999999999942</v>
      </c>
      <c r="H10" s="35">
        <f aca="true" t="shared" si="4" ref="H10:H17">F10/E10*100</f>
        <v>100.85844362469645</v>
      </c>
      <c r="I10" s="50">
        <f t="shared" si="1"/>
        <v>-132521.36000000002</v>
      </c>
      <c r="J10" s="50">
        <f t="shared" si="2"/>
        <v>7.948073021185201</v>
      </c>
      <c r="K10" s="132">
        <f>F10-26568.11</f>
        <v>-15125.77</v>
      </c>
      <c r="L10" s="132">
        <f>F10/26568.11*100</f>
        <v>43.06794875510527</v>
      </c>
      <c r="M10" s="35">
        <f>E10</f>
        <v>11344.95</v>
      </c>
      <c r="N10" s="35">
        <f>F10</f>
        <v>11442.34</v>
      </c>
      <c r="O10" s="47">
        <f t="shared" si="3"/>
        <v>97.38999999999942</v>
      </c>
      <c r="P10" s="50">
        <f aca="true" t="shared" si="5" ref="P10:P17">N10/M10*100</f>
        <v>100.85844362469645</v>
      </c>
      <c r="Q10" s="132">
        <f>N10-26568.11</f>
        <v>-15125.77</v>
      </c>
      <c r="R10" s="133">
        <f>N10/26568.11</f>
        <v>0.43067948755105273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-118.58</v>
      </c>
      <c r="G19" s="43">
        <f t="shared" si="0"/>
        <v>-218.57999999999998</v>
      </c>
      <c r="H19" s="35">
        <f aca="true" t="shared" si="8" ref="H19:H29">F19/E19*100</f>
        <v>-118.58</v>
      </c>
      <c r="I19" s="50">
        <f aca="true" t="shared" si="9" ref="I19:I28">F19-D19</f>
        <v>-718.58</v>
      </c>
      <c r="J19" s="50">
        <f aca="true" t="shared" si="10" ref="J19:J28">F19/D19*100</f>
        <v>-19.763333333333332</v>
      </c>
      <c r="K19" s="50">
        <f>F19-358.81</f>
        <v>-477.39</v>
      </c>
      <c r="L19" s="50">
        <f>F19/358.81*100</f>
        <v>-33.04813132298431</v>
      </c>
      <c r="M19" s="35">
        <f t="shared" si="6"/>
        <v>100</v>
      </c>
      <c r="N19" s="35">
        <f t="shared" si="7"/>
        <v>-118.58</v>
      </c>
      <c r="O19" s="47">
        <f t="shared" si="3"/>
        <v>-218.57999999999998</v>
      </c>
      <c r="P19" s="50">
        <f aca="true" t="shared" si="11" ref="P19:P29">N19/M19*100</f>
        <v>-118.58</v>
      </c>
      <c r="Q19" s="50">
        <f>N19-358.81</f>
        <v>-477.39</v>
      </c>
      <c r="R19" s="126">
        <f>N19/358.81</f>
        <v>-0.3304813132298431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11</v>
      </c>
      <c r="G29" s="43">
        <f t="shared" si="0"/>
        <v>-89</v>
      </c>
      <c r="H29" s="35">
        <f t="shared" si="8"/>
        <v>11</v>
      </c>
      <c r="I29" s="50"/>
      <c r="J29" s="50"/>
      <c r="K29" s="136">
        <f>F29-358.79</f>
        <v>-347.79</v>
      </c>
      <c r="L29" s="136">
        <f>F29/358.79*100</f>
        <v>3.0658602525153986</v>
      </c>
      <c r="M29" s="35">
        <f t="shared" si="6"/>
        <v>100</v>
      </c>
      <c r="N29" s="35">
        <f t="shared" si="7"/>
        <v>11</v>
      </c>
      <c r="O29" s="47">
        <f t="shared" si="3"/>
        <v>-89</v>
      </c>
      <c r="P29" s="50">
        <f t="shared" si="11"/>
        <v>11</v>
      </c>
      <c r="Q29" s="136">
        <f>N29-358.81</f>
        <v>-347.81</v>
      </c>
      <c r="R29" s="141">
        <f>N29/358.79</f>
        <v>0.030658602525153986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</v>
      </c>
      <c r="G30" s="43">
        <f t="shared" si="0"/>
        <v>0</v>
      </c>
      <c r="H30" s="35"/>
      <c r="I30" s="50"/>
      <c r="J30" s="50"/>
      <c r="K30" s="50">
        <f>F30-0</f>
        <v>0</v>
      </c>
      <c r="L30" s="50"/>
      <c r="M30" s="35">
        <f t="shared" si="6"/>
        <v>0</v>
      </c>
      <c r="N30" s="35">
        <f t="shared" si="7"/>
        <v>0</v>
      </c>
      <c r="O30" s="47">
        <f t="shared" si="3"/>
        <v>0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824.09</v>
      </c>
      <c r="G33" s="43">
        <f aca="true" t="shared" si="16" ref="G33:G55">F33-E33</f>
        <v>-5855.91</v>
      </c>
      <c r="H33" s="35">
        <f aca="true" t="shared" si="17" ref="H33:H55">F33/E33*100</f>
        <v>12.336676646706588</v>
      </c>
      <c r="I33" s="50">
        <f>F33-D33</f>
        <v>-40755.91</v>
      </c>
      <c r="J33" s="50">
        <f aca="true" t="shared" si="18" ref="J33:J55">F33/D33*100</f>
        <v>1.981938431938432</v>
      </c>
      <c r="K33" s="132">
        <f>F33-6293.29</f>
        <v>-5469.2</v>
      </c>
      <c r="L33" s="132">
        <f>F33/6293.29*100</f>
        <v>13.094740588785832</v>
      </c>
      <c r="M33" s="35">
        <f t="shared" si="6"/>
        <v>6680</v>
      </c>
      <c r="N33" s="35">
        <f t="shared" si="7"/>
        <v>824.09</v>
      </c>
      <c r="O33" s="47">
        <f t="shared" si="3"/>
        <v>-5855.91</v>
      </c>
      <c r="P33" s="50">
        <f aca="true" t="shared" si="19" ref="P33:P55">N33/M33*100</f>
        <v>12.336676646706588</v>
      </c>
      <c r="Q33" s="132">
        <f>N33-6293.29</f>
        <v>-5469.2</v>
      </c>
      <c r="R33" s="133">
        <f>N33/6293.29</f>
        <v>0.13094740588785833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766.1</v>
      </c>
      <c r="G55" s="135">
        <f t="shared" si="16"/>
        <v>-4483.9</v>
      </c>
      <c r="H55" s="137">
        <f t="shared" si="17"/>
        <v>14.592380952380953</v>
      </c>
      <c r="I55" s="136">
        <f t="shared" si="20"/>
        <v>-30833.9</v>
      </c>
      <c r="J55" s="136">
        <f t="shared" si="18"/>
        <v>2.424367088607595</v>
      </c>
      <c r="K55" s="136">
        <f>F55-4687.91</f>
        <v>-3921.81</v>
      </c>
      <c r="L55" s="136">
        <f>F55/4687.91*100</f>
        <v>16.342037283138968</v>
      </c>
      <c r="M55" s="137">
        <f t="shared" si="6"/>
        <v>5250</v>
      </c>
      <c r="N55" s="137">
        <f t="shared" si="7"/>
        <v>766.1</v>
      </c>
      <c r="O55" s="138">
        <f t="shared" si="3"/>
        <v>-4483.9</v>
      </c>
      <c r="P55" s="136">
        <f t="shared" si="19"/>
        <v>14.592380952380953</v>
      </c>
      <c r="Q55" s="139">
        <f>N55-4687.91</f>
        <v>-3921.81</v>
      </c>
      <c r="R55" s="140">
        <f>N55/4687.91</f>
        <v>0.1634203728313897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165.15</v>
      </c>
      <c r="G56" s="43">
        <f aca="true" t="shared" si="25" ref="G56:G72">F56-E56</f>
        <v>-387.85</v>
      </c>
      <c r="H56" s="35">
        <f aca="true" t="shared" si="26" ref="H56:H67">F56/E56*100</f>
        <v>29.864376130198917</v>
      </c>
      <c r="I56" s="50">
        <f aca="true" t="shared" si="27" ref="I56:I72">F56-D56</f>
        <v>-3461.85</v>
      </c>
      <c r="J56" s="50">
        <f aca="true" t="shared" si="28" ref="J56:J72">F56/D56*100</f>
        <v>4.553349875930522</v>
      </c>
      <c r="K56" s="50">
        <f>F56-527.8</f>
        <v>-362.65</v>
      </c>
      <c r="L56" s="50">
        <f>F56/527.8*100</f>
        <v>31.29026146267526</v>
      </c>
      <c r="M56" s="35">
        <f t="shared" si="6"/>
        <v>553</v>
      </c>
      <c r="N56" s="35">
        <f t="shared" si="7"/>
        <v>165.15</v>
      </c>
      <c r="O56" s="47">
        <f aca="true" t="shared" si="29" ref="O56:O72">N56-M56</f>
        <v>-387.85</v>
      </c>
      <c r="P56" s="50">
        <f aca="true" t="shared" si="30" ref="P56:P67">N56/M56*100</f>
        <v>29.864376130198917</v>
      </c>
      <c r="Q56" s="50">
        <f>N56-527.8</f>
        <v>-362.65</v>
      </c>
      <c r="R56" s="126">
        <f>N56/527.8</f>
        <v>0.3129026146267526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F77+F86+F88+F89+F94+F95+F96+F97+F99+F103+F87</f>
        <v>889.79</v>
      </c>
      <c r="G74" s="44">
        <f aca="true" t="shared" si="32" ref="G74:G92">F74-E74</f>
        <v>-201.21000000000004</v>
      </c>
      <c r="H74" s="45">
        <f aca="true" t="shared" si="33" ref="H74:H86">F74/E74*100</f>
        <v>81.55728689275892</v>
      </c>
      <c r="I74" s="31">
        <f aca="true" t="shared" si="34" ref="I74:I92">F74-D74</f>
        <v>-5742.21</v>
      </c>
      <c r="J74" s="31">
        <f aca="true" t="shared" si="35" ref="J74:J92">F74/D74*100</f>
        <v>13.416616405307598</v>
      </c>
      <c r="K74" s="31">
        <f>F74-1017.6</f>
        <v>-127.81000000000006</v>
      </c>
      <c r="L74" s="31">
        <f>F74/1017.6*100</f>
        <v>87.44005503144653</v>
      </c>
      <c r="M74" s="18">
        <f>M77+M86+M88+M89+M94+M95+M96+M97+M99+M87</f>
        <v>1091</v>
      </c>
      <c r="N74" s="18">
        <f>N77+N86+N88+N89+N94+N95+N96+N97+N99+N32+N103+N87</f>
        <v>889.79</v>
      </c>
      <c r="O74" s="49">
        <f aca="true" t="shared" si="36" ref="O74:O92">N74-M74</f>
        <v>-201.21000000000004</v>
      </c>
      <c r="P74" s="31">
        <f>N74/M74*100</f>
        <v>81.55728689275892</v>
      </c>
      <c r="Q74" s="31">
        <f>N74-1017.63</f>
        <v>-127.84000000000003</v>
      </c>
      <c r="R74" s="127">
        <f>N74/1017.63</f>
        <v>0.8743747727563063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5.43</v>
      </c>
      <c r="G89" s="43">
        <f t="shared" si="32"/>
        <v>-4.57</v>
      </c>
      <c r="H89" s="35">
        <f>F89/E89*100</f>
        <v>54.29999999999999</v>
      </c>
      <c r="I89" s="50">
        <f t="shared" si="34"/>
        <v>-54.57</v>
      </c>
      <c r="J89" s="50">
        <f t="shared" si="35"/>
        <v>9.049999999999999</v>
      </c>
      <c r="K89" s="50">
        <f>F89-9.02</f>
        <v>-3.59</v>
      </c>
      <c r="L89" s="50">
        <f>F89/9.02*100</f>
        <v>60.19955654101996</v>
      </c>
      <c r="M89" s="35">
        <f t="shared" si="39"/>
        <v>10</v>
      </c>
      <c r="N89" s="35">
        <f t="shared" si="40"/>
        <v>5.43</v>
      </c>
      <c r="O89" s="47">
        <f t="shared" si="36"/>
        <v>-4.57</v>
      </c>
      <c r="P89" s="50">
        <f>N89/M89*100</f>
        <v>54.29999999999999</v>
      </c>
      <c r="Q89" s="50">
        <f>N89-9.02</f>
        <v>-3.59</v>
      </c>
      <c r="R89" s="126">
        <f>N89/9.02</f>
        <v>0.6019955654101996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687.72</v>
      </c>
      <c r="G95" s="43">
        <f t="shared" si="41"/>
        <v>57.72000000000003</v>
      </c>
      <c r="H95" s="35">
        <f>F95/E95*100</f>
        <v>109.16190476190476</v>
      </c>
      <c r="I95" s="50">
        <f t="shared" si="42"/>
        <v>-3092.2799999999997</v>
      </c>
      <c r="J95" s="50">
        <f>F95/D95*100</f>
        <v>18.193650793650797</v>
      </c>
      <c r="K95" s="50">
        <f>F95-647.49</f>
        <v>40.23000000000002</v>
      </c>
      <c r="L95" s="50">
        <f>F95/647.49*100</f>
        <v>106.2132233702451</v>
      </c>
      <c r="M95" s="35">
        <f t="shared" si="39"/>
        <v>630</v>
      </c>
      <c r="N95" s="35">
        <f t="shared" si="40"/>
        <v>687.72</v>
      </c>
      <c r="O95" s="47">
        <f t="shared" si="43"/>
        <v>57.72000000000003</v>
      </c>
      <c r="P95" s="50">
        <f>N95/M95*100</f>
        <v>109.16190476190476</v>
      </c>
      <c r="Q95" s="50">
        <f>N95-647.49</f>
        <v>40.23000000000002</v>
      </c>
      <c r="R95" s="126">
        <f>N95/647.49</f>
        <v>1.062132233702451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14.11</v>
      </c>
      <c r="G96" s="43">
        <f t="shared" si="41"/>
        <v>-55.89</v>
      </c>
      <c r="H96" s="35">
        <f>F96/E96*100</f>
        <v>20.15714285714286</v>
      </c>
      <c r="I96" s="50">
        <f t="shared" si="42"/>
        <v>-405.89</v>
      </c>
      <c r="J96" s="50">
        <f>F96/D96*100</f>
        <v>3.3595238095238096</v>
      </c>
      <c r="K96" s="50">
        <f>F96-79.51</f>
        <v>-65.4</v>
      </c>
      <c r="L96" s="50">
        <f>F96/79.51*100</f>
        <v>17.746195447113568</v>
      </c>
      <c r="M96" s="35">
        <f t="shared" si="39"/>
        <v>70</v>
      </c>
      <c r="N96" s="35">
        <f t="shared" si="40"/>
        <v>14.11</v>
      </c>
      <c r="O96" s="47">
        <f t="shared" si="43"/>
        <v>-55.89</v>
      </c>
      <c r="P96" s="50">
        <f>N96/M96*100</f>
        <v>20.15714285714286</v>
      </c>
      <c r="Q96" s="50">
        <f>N96-79.51</f>
        <v>-65.4</v>
      </c>
      <c r="R96" s="126">
        <f>N96/79.51</f>
        <v>0.1774619544711357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182.53</v>
      </c>
      <c r="G99" s="43">
        <f t="shared" si="41"/>
        <v>-197.47</v>
      </c>
      <c r="H99" s="35">
        <f>F99/E99*100</f>
        <v>48.03421052631579</v>
      </c>
      <c r="I99" s="50">
        <f t="shared" si="42"/>
        <v>-2097.47</v>
      </c>
      <c r="J99" s="50">
        <f>F99/D99*100</f>
        <v>8.005701754385965</v>
      </c>
      <c r="K99" s="50">
        <f>F99-277.38</f>
        <v>-94.85</v>
      </c>
      <c r="L99" s="50">
        <f>F99/277.38*100</f>
        <v>65.8050328069796</v>
      </c>
      <c r="M99" s="35">
        <f t="shared" si="39"/>
        <v>380</v>
      </c>
      <c r="N99" s="35">
        <f t="shared" si="40"/>
        <v>182.53</v>
      </c>
      <c r="O99" s="47">
        <f t="shared" si="43"/>
        <v>-197.47</v>
      </c>
      <c r="P99" s="50">
        <f>N99/M99*100</f>
        <v>48.03421052631579</v>
      </c>
      <c r="Q99" s="50">
        <f>N99-277.38</f>
        <v>-94.85</v>
      </c>
      <c r="R99" s="126">
        <f>N99/277.38</f>
        <v>0.6580503280697959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65.1</v>
      </c>
      <c r="G102" s="135"/>
      <c r="H102" s="137"/>
      <c r="I102" s="136"/>
      <c r="J102" s="136"/>
      <c r="K102" s="136">
        <f>F102-64.93</f>
        <v>0.1699999999999875</v>
      </c>
      <c r="L102" s="138">
        <f>F102/64.93*100</f>
        <v>100.2618204219929</v>
      </c>
      <c r="M102" s="35">
        <f t="shared" si="39"/>
        <v>0</v>
      </c>
      <c r="N102" s="35">
        <f t="shared" si="40"/>
        <v>65.1</v>
      </c>
      <c r="O102" s="47"/>
      <c r="P102" s="50"/>
      <c r="Q102" s="50">
        <f>N102-64.93</f>
        <v>0.1699999999999875</v>
      </c>
      <c r="R102" s="126">
        <f>N102/64.93</f>
        <v>1.002618204219929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8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13202.79</v>
      </c>
      <c r="G106" s="44">
        <f>F106-E106</f>
        <v>-6568.16</v>
      </c>
      <c r="H106" s="45">
        <f>F106/E106*100</f>
        <v>66.77873344477631</v>
      </c>
      <c r="I106" s="31">
        <f t="shared" si="44"/>
        <v>-183210.91</v>
      </c>
      <c r="J106" s="31">
        <f t="shared" si="46"/>
        <v>6.721929274790914</v>
      </c>
      <c r="K106" s="31">
        <f>F106-34768</f>
        <v>-21565.21</v>
      </c>
      <c r="L106" s="31">
        <f>F106/34768*100</f>
        <v>37.973970317533364</v>
      </c>
      <c r="M106" s="18">
        <f>M8+M74+M104+M105</f>
        <v>19770.95</v>
      </c>
      <c r="N106" s="18">
        <f>N8+N74+N104+N105</f>
        <v>13202.79</v>
      </c>
      <c r="O106" s="49">
        <f t="shared" si="45"/>
        <v>-6568.16</v>
      </c>
      <c r="P106" s="31">
        <f>N106/M106*100</f>
        <v>66.77873344477631</v>
      </c>
      <c r="Q106" s="31">
        <f>N106-34768</f>
        <v>-21565.21</v>
      </c>
      <c r="R106" s="127">
        <f>N106/34768</f>
        <v>0.3797397031753337</v>
      </c>
    </row>
    <row r="107" spans="1:18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F10-F18+F96</f>
        <v>11456.45</v>
      </c>
      <c r="G107" s="64">
        <f>G10-G18+G96</f>
        <v>41.49999999999942</v>
      </c>
      <c r="H107" s="65">
        <f>F107/E107*100</f>
        <v>100.36355831606795</v>
      </c>
      <c r="I107" s="46">
        <f t="shared" si="44"/>
        <v>-132927.25</v>
      </c>
      <c r="J107" s="46">
        <f t="shared" si="46"/>
        <v>7.934725318716724</v>
      </c>
      <c r="K107" s="46">
        <f>F107-26647.6</f>
        <v>-15191.149999999998</v>
      </c>
      <c r="L107" s="46">
        <f>F107/26647.6*100</f>
        <v>42.99242708536604</v>
      </c>
      <c r="M107" s="64">
        <f>M10-M18+M96</f>
        <v>11414.95</v>
      </c>
      <c r="N107" s="64">
        <f>N10-N18+N96</f>
        <v>11456.45</v>
      </c>
      <c r="O107" s="47">
        <f t="shared" si="45"/>
        <v>41.5</v>
      </c>
      <c r="P107" s="46">
        <f>N107/M107*100</f>
        <v>100.36355831606795</v>
      </c>
      <c r="Q107" s="46">
        <f>N107-26647.62</f>
        <v>-15191.169999999998</v>
      </c>
      <c r="R107" s="128">
        <f>N107/26647.62</f>
        <v>0.4299239481799876</v>
      </c>
    </row>
    <row r="108" spans="1:18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1746.3400000000001</v>
      </c>
      <c r="G108" s="55">
        <f>F108-E108</f>
        <v>-6609.66</v>
      </c>
      <c r="H108" s="65">
        <f>F108/E108*100</f>
        <v>20.899234083293443</v>
      </c>
      <c r="I108" s="46">
        <f t="shared" si="44"/>
        <v>-50283.66</v>
      </c>
      <c r="J108" s="46">
        <f t="shared" si="46"/>
        <v>3.356409763597924</v>
      </c>
      <c r="K108" s="46">
        <f>F108-8120.4</f>
        <v>-6374.0599999999995</v>
      </c>
      <c r="L108" s="46">
        <f>F108/8120.4*100</f>
        <v>21.505590857593223</v>
      </c>
      <c r="M108" s="64">
        <f>M106-M107</f>
        <v>8356</v>
      </c>
      <c r="N108" s="64">
        <f>N106-N107</f>
        <v>1746.3400000000001</v>
      </c>
      <c r="O108" s="47">
        <f t="shared" si="45"/>
        <v>-6609.66</v>
      </c>
      <c r="P108" s="46">
        <f>N108/M108*100</f>
        <v>20.899234083293443</v>
      </c>
      <c r="Q108" s="46">
        <f>N108-8120.38</f>
        <v>-6374.04</v>
      </c>
      <c r="R108" s="128">
        <f>N108/8120.38</f>
        <v>0.21505643824550083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11.82</v>
      </c>
      <c r="G114" s="43">
        <f t="shared" si="47"/>
        <v>-702.039</v>
      </c>
      <c r="H114" s="35">
        <f aca="true" t="shared" si="50" ref="H114:H125">F114/E114*100</f>
        <v>1.6557891684492314</v>
      </c>
      <c r="I114" s="53">
        <f t="shared" si="48"/>
        <v>-4271.337</v>
      </c>
      <c r="J114" s="53">
        <f aca="true" t="shared" si="51" ref="J114:J120">F114/D114*100</f>
        <v>0.2759646681174657</v>
      </c>
      <c r="K114" s="53">
        <f>F114-68.14</f>
        <v>-56.32</v>
      </c>
      <c r="L114" s="53">
        <f>F114/68.14*100</f>
        <v>17.34663927208688</v>
      </c>
      <c r="M114" s="35">
        <f t="shared" si="49"/>
        <v>713.859</v>
      </c>
      <c r="N114" s="35">
        <f t="shared" si="49"/>
        <v>11.82</v>
      </c>
      <c r="O114" s="47">
        <f aca="true" t="shared" si="52" ref="O114:O125">N114-M114</f>
        <v>-702.039</v>
      </c>
      <c r="P114" s="53">
        <f>N114/M114*100</f>
        <v>1.6557891684492314</v>
      </c>
      <c r="Q114" s="53">
        <f>N114-68.14</f>
        <v>-56.32</v>
      </c>
      <c r="R114" s="129">
        <f>N114/68.14</f>
        <v>0.1734663927208688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16.26</v>
      </c>
      <c r="G116" s="55">
        <f t="shared" si="47"/>
        <v>-722.599</v>
      </c>
      <c r="H116" s="65">
        <f t="shared" si="50"/>
        <v>2.2006905241730834</v>
      </c>
      <c r="I116" s="54">
        <f t="shared" si="48"/>
        <v>-4416.897</v>
      </c>
      <c r="J116" s="54">
        <f t="shared" si="51"/>
        <v>0.36678150582079544</v>
      </c>
      <c r="K116" s="54">
        <f>F116-92.85</f>
        <v>-76.58999999999999</v>
      </c>
      <c r="L116" s="54">
        <f>F116/92.85*100</f>
        <v>17.512116316639744</v>
      </c>
      <c r="M116" s="55">
        <f>M114+M115+M113</f>
        <v>738.859</v>
      </c>
      <c r="N116" s="33">
        <f>SUM(N113:N115)</f>
        <v>16.26</v>
      </c>
      <c r="O116" s="54">
        <f t="shared" si="52"/>
        <v>-722.599</v>
      </c>
      <c r="P116" s="54">
        <f>N116/M116*100</f>
        <v>2.2006905241730834</v>
      </c>
      <c r="Q116" s="54">
        <f>N116-92.85</f>
        <v>-76.58999999999999</v>
      </c>
      <c r="R116" s="130">
        <f>N116/92.85</f>
        <v>0.17512116316639745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3.49</v>
      </c>
      <c r="G118" s="43">
        <f t="shared" si="47"/>
        <v>3.49</v>
      </c>
      <c r="H118" s="35" t="e">
        <f t="shared" si="50"/>
        <v>#DIV/0!</v>
      </c>
      <c r="I118" s="53">
        <f t="shared" si="48"/>
        <v>3.49</v>
      </c>
      <c r="J118" s="53" t="e">
        <f t="shared" si="51"/>
        <v>#DIV/0!</v>
      </c>
      <c r="K118" s="53">
        <f>F118-54.32</f>
        <v>-50.83</v>
      </c>
      <c r="L118" s="53">
        <f>F118/54.32*100</f>
        <v>6.424889543446246</v>
      </c>
      <c r="M118" s="35">
        <f>E118</f>
        <v>0</v>
      </c>
      <c r="N118" s="35">
        <f t="shared" si="53"/>
        <v>3.49</v>
      </c>
      <c r="O118" s="47" t="s">
        <v>166</v>
      </c>
      <c r="P118" s="53"/>
      <c r="Q118" s="53">
        <f>N118-54.32</f>
        <v>-50.83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3543.17</v>
      </c>
      <c r="G119" s="43">
        <f t="shared" si="47"/>
        <v>3543.17</v>
      </c>
      <c r="H119" s="35" t="e">
        <f t="shared" si="50"/>
        <v>#DIV/0!</v>
      </c>
      <c r="I119" s="47">
        <f t="shared" si="48"/>
        <v>3543.17</v>
      </c>
      <c r="J119" s="53" t="e">
        <f t="shared" si="51"/>
        <v>#DIV/0!</v>
      </c>
      <c r="K119" s="53">
        <f>F119-7479.86</f>
        <v>-3936.6899999999996</v>
      </c>
      <c r="L119" s="53">
        <f>F119/7479.86*100</f>
        <v>47.36946948204913</v>
      </c>
      <c r="M119" s="35">
        <f>E119</f>
        <v>0</v>
      </c>
      <c r="N119" s="35">
        <f t="shared" si="53"/>
        <v>3543.17</v>
      </c>
      <c r="O119" s="47">
        <f t="shared" si="52"/>
        <v>3543.17</v>
      </c>
      <c r="P119" s="53" t="e">
        <f aca="true" t="shared" si="54" ref="P119:P124">N119/M119*100</f>
        <v>#DIV/0!</v>
      </c>
      <c r="Q119" s="53">
        <f>N119-7479.86</f>
        <v>-3936.6899999999996</v>
      </c>
      <c r="R119" s="129">
        <f>N119/7479.86</f>
        <v>0.4736946948204913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0.01</v>
      </c>
      <c r="G120" s="43">
        <f t="shared" si="47"/>
        <v>0.01</v>
      </c>
      <c r="H120" s="35" t="e">
        <f t="shared" si="50"/>
        <v>#DIV/0!</v>
      </c>
      <c r="I120" s="53">
        <f t="shared" si="48"/>
        <v>0.01</v>
      </c>
      <c r="J120" s="53" t="e">
        <f t="shared" si="51"/>
        <v>#DIV/0!</v>
      </c>
      <c r="K120" s="53">
        <f>F120-0.04</f>
        <v>-0.03</v>
      </c>
      <c r="L120" s="53">
        <f>F120/0.04*100</f>
        <v>25</v>
      </c>
      <c r="M120" s="35">
        <f>E120</f>
        <v>0</v>
      </c>
      <c r="N120" s="35">
        <f t="shared" si="53"/>
        <v>0.01</v>
      </c>
      <c r="O120" s="47">
        <f t="shared" si="52"/>
        <v>0.01</v>
      </c>
      <c r="P120" s="53" t="e">
        <f t="shared" si="54"/>
        <v>#DIV/0!</v>
      </c>
      <c r="Q120" s="53">
        <f>N120-0.04</f>
        <v>-0.03</v>
      </c>
      <c r="R120" s="129">
        <f>N120/0.04</f>
        <v>0.25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3.01</v>
      </c>
      <c r="G121" s="43">
        <f t="shared" si="47"/>
        <v>3.01</v>
      </c>
      <c r="H121" s="35" t="e">
        <f t="shared" si="50"/>
        <v>#DIV/0!</v>
      </c>
      <c r="I121" s="53">
        <f t="shared" si="48"/>
        <v>3.01</v>
      </c>
      <c r="J121" s="53" t="e">
        <f>F121/D121*100</f>
        <v>#DIV/0!</v>
      </c>
      <c r="K121" s="53">
        <f>F121-450.01</f>
        <v>-447</v>
      </c>
      <c r="L121" s="53">
        <f>F121/450.01*100</f>
        <v>0.6688740250216662</v>
      </c>
      <c r="M121" s="35">
        <f>E121</f>
        <v>0</v>
      </c>
      <c r="N121" s="35">
        <f t="shared" si="53"/>
        <v>3.01</v>
      </c>
      <c r="O121" s="47">
        <f t="shared" si="52"/>
        <v>3.01</v>
      </c>
      <c r="P121" s="53" t="e">
        <f t="shared" si="54"/>
        <v>#DIV/0!</v>
      </c>
      <c r="Q121" s="53">
        <f>N121-450.01</f>
        <v>-447</v>
      </c>
      <c r="R121" s="129">
        <f>N121/450.01</f>
        <v>0.006688740250216662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11.92</v>
      </c>
      <c r="G122" s="43">
        <f t="shared" si="47"/>
        <v>11.92</v>
      </c>
      <c r="H122" s="35" t="e">
        <f t="shared" si="50"/>
        <v>#DIV/0!</v>
      </c>
      <c r="I122" s="53">
        <f t="shared" si="48"/>
        <v>11.92</v>
      </c>
      <c r="J122" s="53" t="e">
        <f>F122/D122*100</f>
        <v>#DIV/0!</v>
      </c>
      <c r="K122" s="53">
        <f>F122-1.05</f>
        <v>10.87</v>
      </c>
      <c r="L122" s="53">
        <f>F122/1.05*100</f>
        <v>1135.2380952380952</v>
      </c>
      <c r="M122" s="35">
        <f>E122</f>
        <v>0</v>
      </c>
      <c r="N122" s="35">
        <f t="shared" si="53"/>
        <v>11.92</v>
      </c>
      <c r="O122" s="47">
        <f t="shared" si="52"/>
        <v>11.92</v>
      </c>
      <c r="P122" s="53" t="e">
        <f t="shared" si="54"/>
        <v>#DIV/0!</v>
      </c>
      <c r="Q122" s="53">
        <f>N122-1.05</f>
        <v>10.87</v>
      </c>
      <c r="R122" s="129">
        <f>N122/1.05</f>
        <v>11.352380952380951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3561.6000000000004</v>
      </c>
      <c r="G123" s="55">
        <f t="shared" si="47"/>
        <v>3561.6000000000004</v>
      </c>
      <c r="H123" s="65" t="e">
        <f t="shared" si="50"/>
        <v>#DIV/0!</v>
      </c>
      <c r="I123" s="54">
        <f t="shared" si="48"/>
        <v>3561.6000000000004</v>
      </c>
      <c r="J123" s="54" t="e">
        <f>F123/D123*100</f>
        <v>#DIV/0!</v>
      </c>
      <c r="K123" s="54">
        <f>F123-7985.28</f>
        <v>-4423.679999999999</v>
      </c>
      <c r="L123" s="54">
        <f>F123/7985.28*100</f>
        <v>44.602067804760765</v>
      </c>
      <c r="M123" s="55">
        <f>M119+M120+M121+M122+M118</f>
        <v>0</v>
      </c>
      <c r="N123" s="55">
        <f>N119+N120+N121+N122+N118</f>
        <v>3561.6000000000004</v>
      </c>
      <c r="O123" s="54">
        <f t="shared" si="52"/>
        <v>3561.6000000000004</v>
      </c>
      <c r="P123" s="54" t="e">
        <f t="shared" si="54"/>
        <v>#DIV/0!</v>
      </c>
      <c r="Q123" s="54">
        <f>N123-7985.28</f>
        <v>-4423.679999999999</v>
      </c>
      <c r="R123" s="130">
        <f>N123/7985.28</f>
        <v>0.44602067804760764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4.82</v>
      </c>
      <c r="G127" s="43">
        <f aca="true" t="shared" si="56" ref="G127:G134">F127-E127</f>
        <v>-1426.598</v>
      </c>
      <c r="H127" s="35">
        <f>F127/E127*100</f>
        <v>0.3367290337273949</v>
      </c>
      <c r="I127" s="53">
        <f aca="true" t="shared" si="57" ref="I127:I134">F127-D127</f>
        <v>-8583.689</v>
      </c>
      <c r="J127" s="53">
        <f>F127/D127*100</f>
        <v>0.05612149908674486</v>
      </c>
      <c r="K127" s="53">
        <f>F127-17.67</f>
        <v>-12.850000000000001</v>
      </c>
      <c r="L127" s="53">
        <f>F127/84.2*100</f>
        <v>5.724465558194774</v>
      </c>
      <c r="M127" s="35">
        <f t="shared" si="55"/>
        <v>1431.418</v>
      </c>
      <c r="N127" s="35">
        <f t="shared" si="55"/>
        <v>4.82</v>
      </c>
      <c r="O127" s="47">
        <f aca="true" t="shared" si="58" ref="O127:O134">N127-M127</f>
        <v>-1426.598</v>
      </c>
      <c r="P127" s="53">
        <f>N127/M127*100</f>
        <v>0.3367290337273949</v>
      </c>
      <c r="Q127" s="53">
        <f>N127-17.67</f>
        <v>-12.850000000000001</v>
      </c>
      <c r="R127" s="129">
        <f>N127/17.67</f>
        <v>0.27277872099603845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</v>
      </c>
      <c r="G128" s="43">
        <f t="shared" si="56"/>
        <v>0</v>
      </c>
      <c r="H128" s="35"/>
      <c r="I128" s="53">
        <f t="shared" si="57"/>
        <v>0</v>
      </c>
      <c r="J128" s="53"/>
      <c r="K128" s="53">
        <f>F128-(-0.21)</f>
        <v>0.21</v>
      </c>
      <c r="L128" s="53"/>
      <c r="M128" s="35">
        <f t="shared" si="55"/>
        <v>0</v>
      </c>
      <c r="N128" s="35">
        <f t="shared" si="55"/>
        <v>0</v>
      </c>
      <c r="O128" s="47">
        <f t="shared" si="58"/>
        <v>0</v>
      </c>
      <c r="P128" s="53"/>
      <c r="Q128" s="53">
        <f>N128-(-0.21)</f>
        <v>0.21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4.82</v>
      </c>
      <c r="G129" s="55">
        <f t="shared" si="56"/>
        <v>-1426.598</v>
      </c>
      <c r="H129" s="65">
        <f>F129/E129*100</f>
        <v>0.3367290337273949</v>
      </c>
      <c r="I129" s="54">
        <f t="shared" si="57"/>
        <v>-8583.689</v>
      </c>
      <c r="J129" s="54">
        <f>F129/D129*100</f>
        <v>0.05612149908674486</v>
      </c>
      <c r="K129" s="54">
        <f>F129-26.38</f>
        <v>-21.56</v>
      </c>
      <c r="L129" s="54">
        <f>F129/26.38*100</f>
        <v>18.27141774071266</v>
      </c>
      <c r="M129" s="55">
        <f>M124+M127+M128+M126</f>
        <v>1431.418</v>
      </c>
      <c r="N129" s="55">
        <f>N124+N127+N128+N126</f>
        <v>4.82</v>
      </c>
      <c r="O129" s="54">
        <f t="shared" si="58"/>
        <v>-1426.598</v>
      </c>
      <c r="P129" s="54">
        <f>N129/M129*100</f>
        <v>0.3367290337273949</v>
      </c>
      <c r="Q129" s="54">
        <f>N129-26.38</f>
        <v>-21.56</v>
      </c>
      <c r="R129" s="128">
        <f>N129/26.38</f>
        <v>0.18271417740712662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</v>
      </c>
      <c r="G130" s="43">
        <f>F130-E130</f>
        <v>0</v>
      </c>
      <c r="H130" s="35" t="e">
        <f>F130/E130*100</f>
        <v>#DIV/0!</v>
      </c>
      <c r="I130" s="53">
        <f>F130-D130</f>
        <v>0</v>
      </c>
      <c r="J130" s="53" t="e">
        <f>F130/D130*100</f>
        <v>#DIV/0!</v>
      </c>
      <c r="K130" s="53">
        <f>F130-0.45</f>
        <v>-0.45</v>
      </c>
      <c r="L130" s="53">
        <f>F130/0.45*100</f>
        <v>0</v>
      </c>
      <c r="M130" s="35">
        <f aca="true" t="shared" si="59" ref="M130:N132">E130</f>
        <v>0</v>
      </c>
      <c r="N130" s="35">
        <f t="shared" si="59"/>
        <v>0</v>
      </c>
      <c r="O130" s="47">
        <f>N130-M130</f>
        <v>0</v>
      </c>
      <c r="P130" s="53" t="e">
        <f>N130/M130*100</f>
        <v>#DIV/0!</v>
      </c>
      <c r="Q130" s="53">
        <f>N130-0.45</f>
        <v>-0.45</v>
      </c>
      <c r="R130" s="129">
        <f>N130/0.45</f>
        <v>0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3582.6800000000007</v>
      </c>
      <c r="G133" s="44">
        <f t="shared" si="56"/>
        <v>1412.4030000000007</v>
      </c>
      <c r="H133" s="45">
        <f>F133/E133*100</f>
        <v>165.07938848358992</v>
      </c>
      <c r="I133" s="31">
        <f t="shared" si="57"/>
        <v>-9438.986</v>
      </c>
      <c r="J133" s="31">
        <f>F133/D133*100</f>
        <v>27.513222962407426</v>
      </c>
      <c r="K133" s="31">
        <f>F133-8104.96</f>
        <v>-4522.279999999999</v>
      </c>
      <c r="L133" s="31">
        <f>F133/8104.96*100</f>
        <v>44.203549431459265</v>
      </c>
      <c r="M133" s="27">
        <f>M116+M130+M123+M129+M132+M131</f>
        <v>2170.277</v>
      </c>
      <c r="N133" s="27">
        <f>N116+N130+N123+N129+N132+N131</f>
        <v>3582.6800000000007</v>
      </c>
      <c r="O133" s="31">
        <f t="shared" si="58"/>
        <v>1412.4030000000007</v>
      </c>
      <c r="P133" s="31">
        <f>N133/M133*100</f>
        <v>165.07938848358992</v>
      </c>
      <c r="Q133" s="31">
        <f>N133-8104.96</f>
        <v>-4522.279999999999</v>
      </c>
      <c r="R133" s="127">
        <f>N133/8104.96</f>
        <v>0.44203549431459266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16785.47</v>
      </c>
      <c r="G134" s="44">
        <f t="shared" si="56"/>
        <v>-5155.756999999998</v>
      </c>
      <c r="H134" s="45">
        <f>F134/E134*100</f>
        <v>76.50196591102222</v>
      </c>
      <c r="I134" s="31">
        <f t="shared" si="57"/>
        <v>-192649.896</v>
      </c>
      <c r="J134" s="31">
        <f>F134/D134*100</f>
        <v>8.014630155634746</v>
      </c>
      <c r="K134" s="31">
        <f>F134-42872.96</f>
        <v>-26087.489999999998</v>
      </c>
      <c r="L134" s="31">
        <f>F134/42872.96*100</f>
        <v>39.15164709877742</v>
      </c>
      <c r="M134" s="18">
        <f>M106+M133</f>
        <v>21941.227</v>
      </c>
      <c r="N134" s="18">
        <f>N106+N133</f>
        <v>16785.47</v>
      </c>
      <c r="O134" s="31">
        <f t="shared" si="58"/>
        <v>-5155.756999999998</v>
      </c>
      <c r="P134" s="31">
        <f>N134/M134*100</f>
        <v>76.50196591102222</v>
      </c>
      <c r="Q134" s="31">
        <f>N134-42872.96</f>
        <v>-26087.489999999998</v>
      </c>
      <c r="R134" s="127">
        <f>N134/42872.96</f>
        <v>0.39151647098777415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10</v>
      </c>
      <c r="D136" s="4" t="s">
        <v>118</v>
      </c>
    </row>
    <row r="137" spans="2:17" ht="31.5">
      <c r="B137" s="71" t="s">
        <v>154</v>
      </c>
      <c r="C137" s="34">
        <f>IF(O106&lt;0,ABS(O106/C136),0)</f>
        <v>656.816</v>
      </c>
      <c r="D137" s="4" t="s">
        <v>104</v>
      </c>
      <c r="G137" s="170"/>
      <c r="H137" s="170"/>
      <c r="I137" s="170"/>
      <c r="J137" s="17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42021</v>
      </c>
      <c r="D138" s="34">
        <v>581.5</v>
      </c>
      <c r="N138" s="167"/>
      <c r="O138" s="167"/>
    </row>
    <row r="139" spans="3:15" ht="15.75">
      <c r="C139" s="111">
        <v>42020</v>
      </c>
      <c r="D139" s="34">
        <v>1594.7</v>
      </c>
      <c r="F139" s="155" t="s">
        <v>166</v>
      </c>
      <c r="G139" s="163" t="s">
        <v>151</v>
      </c>
      <c r="H139" s="163"/>
      <c r="I139" s="106">
        <v>8909.73221</v>
      </c>
      <c r="J139" s="164" t="s">
        <v>161</v>
      </c>
      <c r="K139" s="164"/>
      <c r="L139" s="164"/>
      <c r="M139" s="164"/>
      <c r="N139" s="167"/>
      <c r="O139" s="167"/>
    </row>
    <row r="140" spans="3:15" ht="15.75">
      <c r="C140" s="111">
        <v>42019</v>
      </c>
      <c r="D140" s="34">
        <v>1225.3</v>
      </c>
      <c r="G140" s="165" t="s">
        <v>155</v>
      </c>
      <c r="H140" s="165"/>
      <c r="I140" s="103">
        <v>0</v>
      </c>
      <c r="J140" s="166" t="s">
        <v>162</v>
      </c>
      <c r="K140" s="166"/>
      <c r="L140" s="166"/>
      <c r="M140" s="166"/>
      <c r="N140" s="167"/>
      <c r="O140" s="167"/>
    </row>
    <row r="141" spans="7:13" ht="15.75" customHeight="1">
      <c r="G141" s="163" t="s">
        <v>148</v>
      </c>
      <c r="H141" s="163"/>
      <c r="I141" s="103">
        <v>0</v>
      </c>
      <c r="J141" s="164" t="s">
        <v>163</v>
      </c>
      <c r="K141" s="164"/>
      <c r="L141" s="164"/>
      <c r="M141" s="164"/>
    </row>
    <row r="142" spans="2:13" ht="18.75" customHeight="1">
      <c r="B142" s="158" t="s">
        <v>160</v>
      </c>
      <c r="C142" s="162"/>
      <c r="D142" s="108">
        <v>127274.39794</v>
      </c>
      <c r="E142" s="73"/>
      <c r="F142" s="156" t="s">
        <v>147</v>
      </c>
      <c r="G142" s="163" t="s">
        <v>149</v>
      </c>
      <c r="H142" s="163"/>
      <c r="I142" s="107">
        <v>118364.66573</v>
      </c>
      <c r="J142" s="164" t="s">
        <v>164</v>
      </c>
      <c r="K142" s="164"/>
      <c r="L142" s="164"/>
      <c r="M142" s="164"/>
    </row>
    <row r="143" spans="7:12" ht="9.75" customHeight="1">
      <c r="G143" s="159"/>
      <c r="H143" s="159"/>
      <c r="I143" s="90"/>
      <c r="J143" s="91"/>
      <c r="K143" s="91"/>
      <c r="L143" s="91"/>
    </row>
    <row r="144" spans="2:12" ht="22.5" customHeight="1" hidden="1">
      <c r="B144" s="160" t="s">
        <v>167</v>
      </c>
      <c r="C144" s="161"/>
      <c r="D144" s="110">
        <v>0</v>
      </c>
      <c r="E144" s="70" t="s">
        <v>104</v>
      </c>
      <c r="G144" s="159"/>
      <c r="H144" s="159"/>
      <c r="I144" s="90"/>
      <c r="J144" s="91"/>
      <c r="K144" s="91"/>
      <c r="L144" s="91"/>
    </row>
    <row r="145" spans="4:15" ht="15.75">
      <c r="D145" s="105"/>
      <c r="N145" s="159"/>
      <c r="O145" s="159"/>
    </row>
    <row r="146" spans="4:15" ht="15.75">
      <c r="D146" s="104"/>
      <c r="I146" s="34"/>
      <c r="N146" s="157"/>
      <c r="O146" s="157"/>
    </row>
    <row r="147" spans="14:15" ht="15.75">
      <c r="N147" s="159"/>
      <c r="O147" s="15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2015-01-19T09:15:50Z</cp:lastPrinted>
  <dcterms:created xsi:type="dcterms:W3CDTF">2003-07-28T11:27:56Z</dcterms:created>
  <dcterms:modified xsi:type="dcterms:W3CDTF">2015-01-19T09:27:44Z</dcterms:modified>
  <cp:category/>
  <cp:version/>
  <cp:contentType/>
  <cp:contentStatus/>
</cp:coreProperties>
</file>